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<sst xmlns="http://schemas.openxmlformats.org/spreadsheetml/2006/main" count="2859" uniqueCount="2077">
  <si>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</si>
  <si>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</si>
  <si>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</si>
  <si>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</si>
  <si>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</si>
  <si>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</si>
  <si>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</si>
  <si>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</si>
  <si>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</si>
  <si>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</si>
  <si>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</si>
  <si>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</si>
  <si>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</si>
  <si>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</si>
  <si>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</si>
  <si>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</si>
  <si>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</si>
  <si>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</si>
  <si>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</si>
  <si>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</si>
  <si>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</si>
  <si>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</si>
  <si>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</si>
  <si>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</si>
  <si>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</si>
  <si>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</si>
  <si>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</si>
  <si>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</si>
  <si>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</si>
  <si>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</si>
  <si>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</si>
  <si>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</si>
  <si>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</si>
  <si>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</si>
  <si>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</si>
  <si>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</si>
  <si>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</si>
  <si>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</si>
  <si>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</si>
  <si>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</si>
  <si>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</si>
  <si>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</si>
  <si>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</si>
  <si>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</si>
  <si>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</si>
  <si>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</si>
  <si>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</si>
  <si>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</si>
  <si>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</si>
  <si>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</si>
  <si>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</si>
  <si>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</si>
  <si>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</si>
  <si>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</si>
  <si>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</si>
  <si>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</si>
  <si>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</si>
  <si>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</si>
  <si>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</si>
  <si>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</si>
  <si>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</si>
  <si>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</si>
  <si>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</si>
  <si>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</si>
  <si>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</si>
  <si>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</si>
  <si>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</si>
  <si>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</si>
  <si>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</si>
  <si>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</si>
  <si>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</si>
  <si>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</si>
  <si>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</si>
  <si>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</si>
  <si>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</si>
  <si>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</si>
  <si>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</si>
  <si>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</si>
  <si>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</si>
  <si>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</si>
  <si>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</si>
  <si>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</si>
  <si>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</si>
  <si>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</si>
  <si>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</si>
  <si>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</si>
  <si>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</si>
  <si>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</si>
  <si>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</si>
  <si>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</si>
  <si>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</si>
  <si>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</si>
  <si>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</si>
  <si>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</si>
  <si>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</si>
  <si>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</si>
  <si>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</si>
  <si>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</si>
  <si>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</si>
  <si>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</si>
  <si>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</si>
  <si>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</si>
  <si>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</si>
  <si>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</si>
  <si>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</si>
  <si>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</si>
  <si>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</si>
  <si>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</si>
  <si>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</si>
  <si>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</si>
  <si>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</si>
  <si>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</si>
  <si>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</si>
  <si>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</si>
  <si>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</si>
  <si>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</si>
  <si>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</si>
  <si>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</si>
  <si>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</si>
  <si>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</si>
  <si>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</si>
  <si>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</si>
  <si>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</si>
  <si>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</si>
  <si>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</si>
  <si>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</si>
  <si>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</si>
  <si>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</si>
  <si>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</si>
  <si>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</si>
  <si>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</si>
  <si>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</si>
  <si>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</si>
  <si>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</si>
  <si>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</si>
  <si>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</si>
  <si>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</si>
  <si>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</si>
  <si>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</si>
  <si>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</si>
  <si>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</si>
  <si>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</si>
  <si>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</si>
  <si>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</si>
  <si>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</si>
  <si>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</si>
  <si>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</si>
  <si>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</si>
  <si>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</si>
  <si>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</si>
  <si>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</si>
  <si>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</si>
  <si>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</si>
  <si>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</si>
  <si>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</si>
  <si>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</si>
  <si>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</si>
  <si>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</si>
  <si>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</si>
  <si>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</si>
  <si>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</si>
  <si>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</si>
  <si>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</si>
  <si>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</si>
  <si>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</si>
  <si>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</si>
  <si>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</si>
  <si>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</si>
  <si>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</si>
  <si>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</si>
  <si>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</si>
  <si>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</si>
  <si>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</si>
  <si>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</si>
  <si>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</si>
  <si>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</si>
  <si>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</si>
  <si>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</si>
  <si>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</si>
  <si>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</si>
  <si>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</si>
  <si>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</si>
  <si>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</si>
  <si>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</si>
  <si>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</si>
  <si>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</si>
  <si>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</si>
  <si>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</si>
  <si>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</si>
  <si>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</si>
  <si>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</si>
  <si>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</si>
  <si>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</si>
  <si>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</si>
  <si>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</si>
  <si>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</si>
  <si>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</si>
  <si>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</si>
  <si>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</si>
  <si>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</si>
  <si>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</si>
  <si>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</si>
  <si>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</si>
  <si>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</si>
  <si>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</si>
  <si>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</si>
  <si>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</si>
  <si>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</si>
  <si>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</si>
  <si>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</si>
  <si>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</si>
  <si>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</si>
  <si>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</si>
  <si>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</si>
  <si>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</si>
  <si>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</si>
  <si>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</si>
  <si>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</si>
  <si>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</si>
  <si>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</si>
  <si>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</si>
  <si>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</si>
  <si>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</si>
  <si>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</si>
  <si>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</si>
  <si>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</si>
  <si>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</si>
  <si>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</si>
  <si>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</si>
  <si>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</si>
  <si>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</si>
  <si>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</si>
  <si>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</si>
  <si>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</si>
  <si>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</si>
  <si>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</si>
  <si>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</si>
  <si>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</si>
  <si>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</si>
  <si>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</si>
  <si>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</si>
  <si>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</si>
  <si>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</si>
  <si>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</si>
  <si>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</si>
  <si>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</si>
  <si>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</si>
  <si>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</si>
  <si>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</si>
  <si>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</si>
  <si>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</si>
  <si>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</si>
  <si>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</si>
  <si>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</si>
  <si>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</si>
  <si>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</si>
  <si>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</si>
  <si>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</si>
  <si>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</si>
  <si>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</si>
  <si>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</si>
  <si>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</si>
  <si>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</si>
  <si>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</si>
  <si>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</si>
  <si>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</si>
  <si>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</si>
  <si>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</si>
  <si>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</si>
  <si>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</si>
  <si>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</si>
  <si>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</si>
  <si>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</si>
  <si>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</si>
  <si>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</si>
  <si>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</si>
  <si>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</si>
  <si>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</si>
  <si>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</si>
  <si>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</si>
  <si>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</si>
  <si>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</si>
  <si>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</si>
  <si>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</si>
  <si>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</si>
  <si>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</si>
  <si>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</si>
  <si>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</si>
  <si>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</si>
  <si>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</si>
  <si>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</si>
  <si>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</si>
  <si>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</si>
  <si>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</si>
  <si>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</si>
  <si>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</si>
  <si>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</si>
  <si>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</si>
  <si>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</si>
  <si>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</si>
  <si>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</si>
  <si>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</si>
  <si>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</si>
  <si>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</si>
  <si>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</si>
  <si>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</si>
  <si>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</si>
  <si>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</si>
  <si>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</si>
  <si>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</si>
  <si>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</si>
  <si>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</si>
  <si>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</si>
  <si>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</si>
  <si>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</si>
  <si>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</si>
  <si>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</si>
  <si>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</si>
  <si>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</si>
  <si>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</si>
  <si>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</si>
  <si>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</si>
  <si>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</si>
  <si>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</si>
  <si>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</si>
  <si>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</si>
  <si>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</si>
  <si>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</si>
  <si>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</si>
  <si>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</si>
  <si>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</si>
  <si>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</si>
  <si>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</si>
  <si>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</si>
  <si>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</si>
  <si>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</si>
  <si>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</si>
  <si>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</si>
  <si>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</si>
  <si>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</si>
  <si>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</si>
  <si>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</si>
  <si>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</si>
  <si>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</si>
  <si>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</si>
  <si>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</si>
  <si>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</si>
  <si>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</si>
  <si>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</si>
  <si>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</si>
  <si>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</si>
  <si>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</si>
  <si>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</si>
  <si>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</si>
  <si>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</si>
  <si>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</si>
  <si>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</si>
  <si>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</si>
  <si>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</si>
  <si>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</si>
  <si>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</si>
  <si>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</si>
  <si>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</si>
  <si>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</si>
  <si>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</si>
  <si>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</si>
  <si>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</si>
  <si>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</si>
  <si>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</si>
  <si>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</si>
  <si>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</si>
  <si>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</si>
  <si>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</si>
  <si>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</si>
  <si>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</si>
  <si>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</si>
  <si>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</si>
  <si>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</si>
  <si>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</si>
  <si>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</si>
  <si>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</si>
  <si>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</si>
  <si>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</si>
  <si>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</si>
  <si>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</si>
  <si>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</si>
  <si>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</si>
  <si>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</si>
  <si>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</si>
  <si>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</si>
  <si>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</si>
  <si>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</si>
  <si>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</si>
  <si>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</si>
  <si>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</si>
  <si>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</si>
  <si>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</si>
  <si>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</si>
  <si>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</si>
  <si>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</si>
  <si>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</si>
  <si>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</si>
  <si>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</si>
  <si>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</si>
  <si>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</si>
  <si>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</si>
  <si>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</si>
  <si>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</si>
  <si>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</si>
  <si>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</si>
  <si>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</si>
  <si>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</si>
  <si>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</si>
  <si>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</si>
  <si>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</si>
  <si>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</si>
  <si>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</si>
  <si>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</si>
  <si>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</si>
  <si>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</si>
  <si>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</si>
  <si>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</si>
  <si>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</si>
  <si>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</si>
  <si>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</si>
  <si>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</si>
  <si>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</si>
  <si>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</si>
  <si>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</si>
  <si>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</si>
  <si>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</si>
  <si>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</si>
  <si>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</si>
  <si>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</si>
  <si>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</si>
  <si>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</si>
  <si>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</si>
  <si>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</si>
  <si>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</si>
  <si>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</si>
  <si>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</si>
  <si>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</si>
  <si>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</si>
  <si>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</si>
  <si>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</si>
  <si>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</si>
  <si>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</si>
  <si>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</si>
  <si>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</si>
  <si>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</si>
  <si>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</si>
  <si>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</si>
  <si>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</si>
  <si>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</si>
  <si>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</si>
  <si>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</si>
  <si>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</si>
  <si>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</si>
  <si>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</si>
  <si>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</si>
  <si>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</si>
  <si>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</si>
  <si>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</si>
  <si>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</si>
  <si>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</si>
  <si>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</si>
  <si>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</si>
  <si>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</si>
  <si>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</si>
  <si>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</si>
  <si>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</si>
  <si>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</si>
  <si>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</si>
  <si>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</si>
  <si>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</si>
  <si>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</si>
  <si>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</si>
  <si>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</si>
  <si>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</si>
  <si>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</si>
  <si>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</si>
  <si>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</si>
  <si>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</si>
  <si>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</si>
  <si>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</si>
  <si>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</si>
  <si>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</si>
  <si>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</si>
  <si>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</si>
  <si>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</si>
  <si>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</si>
  <si>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</si>
  <si>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</si>
  <si>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</si>
  <si>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</si>
  <si>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</si>
  <si>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</si>
  <si>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</si>
  <si>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</si>
  <si>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</si>
  <si>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</si>
  <si>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</si>
  <si>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</si>
  <si>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</si>
  <si>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</si>
  <si>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</si>
  <si>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</si>
  <si>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</si>
  <si>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</si>
  <si>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</si>
  <si>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</si>
  <si>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</si>
  <si>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</si>
  <si>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</si>
  <si>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</si>
  <si>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</si>
  <si>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</si>
  <si>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</si>
  <si>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</si>
  <si>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</si>
  <si>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</si>
  <si>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</si>
  <si>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</si>
  <si>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</si>
  <si>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</si>
  <si>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</si>
  <si>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</si>
  <si>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</si>
  <si>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</si>
  <si>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</si>
  <si>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</si>
  <si>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</si>
  <si>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</si>
  <si>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</si>
  <si>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</si>
  <si>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</si>
  <si>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</si>
  <si>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</si>
  <si>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</si>
  <si>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</si>
  <si>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</si>
  <si>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</si>
  <si>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</si>
  <si>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</si>
  <si>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</si>
  <si>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</si>
  <si>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</si>
  <si>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</si>
  <si>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</si>
  <si>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</si>
  <si>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</si>
  <si>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</si>
  <si>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</si>
  <si>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</si>
  <si>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</si>
  <si>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</si>
  <si>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</si>
  <si>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</si>
  <si>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</si>
  <si>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</si>
  <si>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</si>
  <si>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</si>
  <si>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</si>
  <si>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</si>
  <si>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</si>
  <si>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</si>
  <si>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</si>
  <si>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</si>
  <si>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</si>
  <si>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</si>
  <si>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</si>
  <si>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</si>
  <si>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</si>
  <si>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</si>
  <si>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</si>
  <si>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</si>
  <si>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</si>
  <si>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</si>
  <si>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</si>
  <si>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</si>
  <si>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</si>
  <si>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</si>
  <si>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</si>
  <si>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</si>
  <si>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</si>
  <si>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</si>
  <si>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</si>
  <si>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</si>
  <si>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</si>
  <si>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</si>
  <si>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</si>
  <si>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</si>
  <si>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</si>
  <si>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</si>
  <si>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</si>
  <si>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</si>
  <si>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</si>
  <si>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</si>
  <si>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</si>
  <si>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</si>
  <si>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</si>
  <si>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</si>
  <si>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</si>
  <si>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</si>
  <si>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</si>
  <si>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</si>
  <si>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</si>
  <si>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</si>
  <si>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</si>
  <si>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</si>
  <si>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</si>
  <si>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</si>
  <si>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</si>
  <si>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</si>
  <si>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</si>
  <si>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</si>
  <si>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</si>
  <si>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</si>
  <si>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</si>
  <si>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</si>
  <si>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</si>
  <si>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</si>
  <si>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</si>
  <si>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</si>
  <si>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</si>
  <si>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</si>
  <si>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</si>
  <si>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</si>
  <si>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</si>
  <si>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</si>
  <si>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</si>
  <si>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</si>
  <si>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</si>
  <si>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</si>
  <si>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</si>
  <si>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</si>
  <si>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</si>
  <si>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</si>
  <si>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</si>
  <si>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</si>
  <si>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</si>
  <si>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</si>
  <si>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</si>
  <si>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</si>
  <si>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</si>
  <si>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</si>
  <si>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</si>
  <si>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</si>
  <si>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</si>
  <si>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</si>
  <si>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</si>
  <si>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</si>
  <si>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</si>
  <si>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</si>
  <si>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</si>
  <si>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</si>
  <si>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</si>
  <si>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</si>
  <si>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</si>
  <si>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</si>
  <si>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</si>
  <si>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</si>
  <si>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</si>
  <si>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</si>
  <si>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</si>
  <si>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</si>
  <si>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</si>
  <si>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</si>
  <si>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</si>
  <si>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</si>
  <si>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</si>
  <si>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</si>
  <si>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</si>
  <si>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</si>
  <si>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</si>
  <si>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</si>
  <si>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</si>
  <si>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</si>
  <si>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</si>
  <si>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</si>
  <si>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</si>
  <si>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</si>
  <si>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</si>
  <si>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</si>
  <si>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</si>
  <si>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</si>
  <si>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</si>
  <si>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</si>
  <si>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</si>
  <si>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</si>
  <si>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</si>
  <si>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</si>
  <si>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</si>
  <si>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</si>
  <si>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</si>
  <si>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</si>
  <si>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</si>
  <si>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</si>
  <si>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</si>
  <si>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</si>
  <si>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</si>
  <si>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</si>
  <si>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</si>
  <si>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</si>
  <si>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</si>
  <si>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</si>
  <si>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</si>
  <si>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</si>
  <si>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</si>
  <si>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</si>
  <si>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</si>
  <si>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</si>
  <si>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</si>
  <si>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</si>
  <si>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</si>
  <si>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</si>
  <si>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</si>
  <si>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</si>
  <si>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</si>
  <si>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</si>
  <si>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</si>
  <si>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</si>
  <si>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</si>
  <si>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</si>
  <si>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</si>
  <si>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</si>
  <si>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</si>
  <si>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</si>
  <si>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</si>
  <si>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</si>
  <si>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</si>
  <si>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</si>
  <si>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</si>
  <si>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</si>
  <si>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</si>
  <si>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</si>
  <si>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</si>
  <si>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</si>
  <si>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</si>
  <si>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</si>
  <si>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</si>
  <si>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</si>
  <si>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</si>
  <si>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</si>
  <si>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</si>
  <si>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</si>
  <si>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</si>
  <si>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</si>
  <si>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</si>
  <si>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</si>
  <si>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</si>
  <si>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</si>
  <si>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</si>
  <si>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</si>
  <si>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</si>
  <si>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</si>
  <si>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</si>
  <si>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</si>
  <si>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</si>
  <si>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</si>
  <si>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</si>
  <si>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</si>
  <si>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</si>
  <si>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</si>
  <si>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</si>
  <si>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</si>
  <si>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</si>
  <si>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</si>
  <si>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</si>
  <si>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</si>
  <si>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</si>
  <si>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</si>
  <si>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</si>
  <si>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</si>
  <si>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</si>
  <si>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</si>
  <si>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</si>
  <si>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</si>
  <si>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</si>
  <si>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</si>
  <si>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</si>
  <si>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</si>
  <si>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</si>
  <si>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</si>
  <si>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</si>
  <si>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</si>
  <si>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</si>
  <si>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</si>
  <si>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</si>
  <si>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</si>
  <si>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</si>
  <si>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</si>
  <si>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</si>
  <si>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</si>
  <si>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</si>
  <si>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</si>
  <si>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</si>
  <si>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</si>
  <si>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</si>
  <si>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</si>
  <si>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</si>
  <si>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</si>
  <si>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</si>
  <si>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</si>
  <si>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</si>
  <si>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</si>
  <si>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</si>
  <si>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</si>
  <si>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</si>
  <si>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</si>
  <si>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</si>
  <si>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</si>
  <si>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</si>
  <si>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</si>
  <si>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</si>
  <si>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</si>
  <si>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</si>
  <si>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</si>
  <si>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</si>
  <si>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</si>
  <si>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</si>
  <si>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</si>
  <si>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</si>
  <si>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</si>
  <si>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</si>
  <si>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</si>
  <si>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</si>
  <si>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</si>
  <si>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</si>
  <si>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</si>
  <si>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</si>
  <si>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</si>
  <si>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</si>
  <si>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</si>
  <si>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</si>
  <si>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</si>
  <si>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</si>
  <si>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</si>
  <si>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</si>
  <si>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</si>
  <si>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</si>
  <si>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</si>
  <si>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</si>
  <si>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</si>
  <si>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</si>
  <si>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</si>
  <si>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</si>
  <si>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</si>
  <si>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</si>
  <si>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</si>
  <si>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</si>
  <si>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</si>
  <si>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</si>
  <si>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</si>
  <si>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</si>
  <si>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</si>
  <si>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</si>
  <si>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</si>
  <si>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</si>
  <si>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</si>
  <si>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</si>
  <si>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</si>
  <si>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</si>
  <si>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</si>
  <si>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</si>
  <si>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</si>
  <si>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</si>
  <si>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</si>
  <si>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</si>
  <si>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</si>
  <si>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</si>
  <si>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</si>
  <si>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</si>
  <si>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</si>
  <si>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</si>
  <si>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</si>
  <si>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</si>
  <si>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</si>
  <si>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</si>
  <si>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</si>
  <si>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</si>
  <si>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</si>
  <si>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</si>
  <si>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</si>
  <si>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</si>
  <si>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</si>
  <si>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</si>
  <si>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</si>
  <si>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</si>
  <si>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</si>
  <si>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</si>
  <si>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</si>
  <si>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</si>
  <si>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</si>
  <si>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</si>
  <si>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</si>
  <si>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</si>
  <si>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</si>
  <si>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</si>
  <si>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</si>
  <si>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</si>
  <si>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</si>
  <si>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</si>
  <si>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</si>
  <si>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</si>
  <si>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</si>
  <si>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</si>
  <si>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</si>
  <si>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</si>
  <si>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</si>
  <si>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</si>
  <si>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</si>
  <si>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</si>
  <si>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</si>
  <si>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</si>
  <si>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</si>
  <si>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</si>
  <si>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</si>
  <si>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</si>
  <si>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</si>
  <si>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</si>
  <si>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</si>
  <si>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</si>
  <si>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</si>
  <si>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</si>
  <si>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</si>
  <si>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</si>
  <si>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</si>
  <si>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</si>
  <si>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</si>
  <si>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</si>
  <si>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</si>
  <si>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</si>
  <si>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</si>
  <si>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</si>
  <si>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</si>
  <si>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</si>
  <si>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</si>
  <si>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</si>
  <si>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</si>
  <si>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</si>
  <si>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</si>
  <si>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</si>
  <si>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</si>
  <si>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</si>
  <si>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</si>
  <si>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</si>
  <si>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</si>
  <si>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</si>
  <si>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</si>
  <si>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</si>
  <si>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</si>
  <si>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</si>
  <si>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</si>
  <si>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</si>
  <si>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</si>
  <si>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</si>
  <si>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</si>
  <si>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</si>
  <si>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</si>
  <si>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</si>
  <si>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</si>
  <si>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</si>
  <si>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</si>
  <si>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</si>
  <si>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</si>
  <si>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</si>
  <si>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</si>
  <si>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</si>
  <si>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</si>
  <si>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</si>
  <si>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</si>
  <si>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</si>
  <si>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</si>
  <si>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</si>
  <si>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</si>
  <si>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</si>
  <si>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</si>
  <si>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</si>
  <si>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</si>
  <si>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</si>
  <si>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</si>
  <si>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</si>
  <si>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</si>
  <si>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</si>
  <si>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</si>
  <si>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</si>
  <si>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</si>
  <si>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</si>
  <si>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</si>
  <si>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</si>
  <si>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</si>
  <si>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</si>
  <si>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</si>
  <si>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</si>
  <si>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</si>
  <si>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</si>
  <si>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</si>
  <si>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</si>
  <si>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</si>
  <si>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</si>
  <si>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</si>
  <si>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</si>
  <si>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</si>
  <si>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</si>
  <si>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</si>
  <si>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</si>
  <si>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</si>
  <si>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</si>
  <si>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</si>
  <si>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</si>
  <si>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</si>
  <si>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</si>
  <si>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</si>
  <si>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</si>
  <si>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</si>
  <si>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</si>
  <si>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</si>
  <si>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</si>
  <si>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</si>
  <si>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</si>
  <si>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</si>
  <si>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</si>
  <si>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</si>
  <si>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</si>
  <si>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</si>
  <si>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</si>
  <si>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</si>
  <si>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</si>
  <si>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</si>
  <si>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</si>
  <si>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</si>
  <si>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</si>
  <si>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</si>
  <si>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</si>
  <si>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</si>
  <si>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</si>
  <si>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</si>
  <si>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</si>
  <si>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</si>
  <si>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</si>
  <si>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</si>
  <si>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</si>
  <si>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</si>
  <si>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</si>
  <si>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</si>
  <si>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</si>
  <si>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</si>
  <si>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</si>
  <si>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</si>
  <si>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</si>
  <si>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</si>
  <si>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</si>
  <si>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</si>
  <si>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</si>
  <si>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</si>
  <si>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</si>
  <si>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</si>
  <si>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</si>
  <si>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</si>
  <si>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</si>
  <si>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</si>
  <si>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</si>
  <si>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</si>
  <si>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</si>
  <si>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</si>
  <si>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</si>
  <si>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</si>
  <si>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</si>
  <si>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</si>
  <si>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</si>
  <si>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</si>
  <si>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</si>
  <si>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</si>
  <si>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</si>
  <si>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</si>
  <si>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</si>
  <si>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</si>
  <si>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</si>
  <si>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</si>
  <si>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</si>
  <si>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</si>
  <si>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</si>
  <si>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</si>
  <si>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</si>
  <si>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</si>
  <si>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</si>
  <si>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</si>
  <si>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</si>
  <si>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</si>
  <si>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</si>
  <si>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</si>
  <si>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</si>
  <si>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</si>
  <si>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</si>
  <si>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</si>
  <si>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</si>
  <si>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</si>
  <si>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</si>
  <si>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</si>
  <si>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</si>
  <si>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</si>
  <si>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</si>
  <si>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</si>
  <si>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</si>
  <si>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</si>
  <si>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</si>
  <si>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</si>
  <si>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</si>
  <si>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</si>
  <si>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</si>
  <si>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</si>
  <si>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</si>
  <si>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</si>
  <si>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</si>
  <si>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</si>
  <si>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</si>
  <si>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</si>
  <si>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</si>
  <si>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</si>
  <si>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</si>
  <si>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</si>
  <si>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</si>
  <si>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</si>
  <si>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</si>
  <si>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</si>
  <si>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</si>
  <si>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</si>
  <si>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</si>
  <si>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</si>
  <si>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</si>
  <si>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</si>
  <si>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</si>
  <si>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</si>
  <si>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</si>
  <si>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</si>
  <si>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</si>
  <si>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</si>
  <si>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</si>
  <si>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</si>
  <si>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</si>
  <si>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</si>
  <si>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</si>
  <si>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</si>
  <si>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</si>
  <si>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</si>
  <si>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</si>
  <si>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</si>
  <si>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</si>
  <si>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</si>
  <si>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</si>
  <si>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</si>
  <si>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</si>
  <si>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</si>
  <si>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</si>
  <si>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</si>
  <si>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</si>
  <si>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</si>
  <si>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</si>
  <si>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</si>
  <si>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</si>
  <si>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</si>
  <si>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</si>
  <si>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</si>
  <si>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</si>
  <si>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</si>
  <si>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</si>
  <si>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</si>
  <si>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</si>
  <si>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</si>
  <si>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</si>
  <si>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</si>
  <si>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</si>
  <si>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</si>
  <si>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</si>
  <si>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</si>
  <si>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</si>
  <si>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</si>
  <si>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</si>
  <si>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</si>
  <si>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</si>
  <si>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</si>
  <si>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</si>
  <si>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</si>
  <si>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</si>
  <si>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</si>
  <si>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</si>
  <si>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</si>
  <si>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</si>
  <si>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</si>
  <si>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</si>
  <si>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</si>
  <si>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</si>
  <si>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</si>
  <si>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</si>
  <si>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</si>
  <si>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</si>
  <si>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</si>
  <si>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</si>
  <si>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</si>
  <si>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</si>
  <si>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</si>
  <si>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</si>
  <si>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</si>
  <si>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</si>
  <si>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</si>
  <si>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</si>
  <si>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</si>
  <si>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</si>
  <si>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</si>
  <si>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</si>
  <si>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</si>
  <si>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</si>
  <si>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</si>
  <si>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</si>
  <si>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</si>
  <si>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</si>
  <si>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</si>
  <si>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</si>
  <si>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</si>
  <si>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</si>
  <si>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</si>
  <si>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</si>
  <si>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</si>
  <si>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</si>
  <si>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</si>
  <si>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</si>
  <si>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</si>
  <si>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</si>
  <si>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</si>
  <si>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</si>
  <si>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</si>
  <si>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</si>
  <si>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</si>
  <si>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</si>
  <si>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</si>
  <si>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</si>
  <si>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</si>
  <si>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</si>
  <si>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</si>
  <si>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</si>
  <si>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</si>
  <si>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</si>
  <si>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</si>
  <si>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</si>
  <si>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</si>
  <si>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</si>
  <si>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</si>
  <si>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</si>
  <si>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</si>
  <si>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</si>
  <si>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</si>
  <si>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</si>
  <si>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</si>
  <si>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</si>
  <si>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</si>
  <si>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</si>
  <si>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</si>
  <si>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</si>
  <si>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</si>
  <si>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</si>
  <si>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</si>
  <si>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</si>
  <si>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</si>
  <si>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</si>
  <si>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</si>
  <si>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</si>
  <si>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</si>
  <si>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</si>
  <si>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</si>
  <si>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</si>
  <si>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</si>
  <si>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</si>
  <si>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</si>
  <si>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</si>
  <si>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</si>
  <si>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</si>
  <si>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</si>
  <si>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</si>
  <si>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</si>
  <si>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</si>
  <si>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</si>
  <si>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</si>
  <si>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</si>
  <si>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</si>
  <si>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</si>
  <si>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</si>
  <si>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</si>
  <si>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</si>
  <si>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</si>
  <si>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</si>
  <si>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</si>
  <si>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</si>
  <si>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</si>
  <si>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</si>
  <si>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</si>
  <si>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</si>
  <si>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</si>
  <si>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</si>
  <si>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</si>
  <si>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</si>
  <si>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</si>
  <si>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</si>
  <si>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</si>
  <si>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</si>
  <si>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</si>
  <si>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</si>
  <si>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</si>
  <si>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</si>
  <si>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</si>
  <si>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</si>
  <si>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</si>
  <si>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</si>
  <si>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</si>
  <si>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</si>
  <si>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</si>
  <si>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</si>
  <si>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</si>
  <si>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</si>
  <si>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</si>
  <si>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</si>
  <si>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</si>
  <si>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</si>
  <si>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</si>
  <si>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</si>
  <si>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</si>
  <si>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</si>
  <si>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</si>
  <si>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</si>
  <si>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</si>
  <si>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</si>
  <si>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</si>
  <si>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</si>
  <si>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</si>
  <si>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</si>
  <si>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</si>
  <si>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</si>
  <si>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</si>
  <si>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</si>
  <si>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</si>
  <si>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</si>
  <si>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</si>
  <si>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</si>
  <si>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</si>
  <si>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</si>
  <si>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</si>
  <si>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</si>
  <si>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</si>
  <si>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</si>
  <si>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</si>
  <si>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</si>
  <si>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</si>
  <si>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</si>
  <si>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</si>
  <si>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</si>
  <si>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</si>
  <si>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</si>
  <si>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</si>
  <si>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</si>
  <si>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</si>
  <si>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</si>
  <si>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</si>
  <si>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</si>
  <si>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</si>
  <si>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</si>
  <si>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</si>
  <si>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</si>
  <si>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</si>
  <si>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</si>
  <si>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</si>
  <si>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</si>
  <si>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</si>
  <si>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</si>
  <si>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</si>
  <si>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</si>
  <si>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</si>
  <si>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</si>
  <si>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</si>
  <si>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</si>
  <si>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</si>
  <si>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</si>
  <si>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</si>
  <si>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</si>
  <si>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</si>
  <si>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</si>
  <si>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</si>
  <si>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</si>
  <si>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</si>
  <si>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</si>
  <si>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</si>
  <si>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</si>
  <si>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</si>
  <si>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</si>
  <si>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</si>
  <si>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</si>
  <si>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</si>
  <si>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</si>
  <si>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</si>
  <si>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</si>
  <si>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</si>
  <si>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</si>
  <si>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</si>
  <si>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</si>
  <si>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</si>
  <si>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</si>
  <si>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</si>
  <si>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</si>
  <si>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</si>
  <si>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</si>
  <si>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</si>
  <si>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</si>
  <si>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</si>
  <si>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</si>
  <si>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</si>
  <si>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</si>
  <si>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</si>
  <si>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</si>
  <si>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</si>
  <si>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</si>
  <si>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</si>
  <si>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</si>
  <si>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</si>
  <si>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</si>
  <si>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</si>
  <si>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</si>
  <si>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</si>
  <si>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</si>
  <si>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</si>
  <si>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</si>
  <si>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</si>
  <si>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</si>
  <si>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</si>
  <si>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</si>
  <si>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</si>
  <si>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</si>
  <si>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</si>
  <si>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</si>
  <si>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</si>
  <si>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</si>
  <si>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</si>
  <si>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</si>
  <si>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</si>
  <si>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</si>
  <si>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</si>
  <si>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</si>
  <si>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</si>
  <si>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</si>
  <si>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</si>
  <si>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</si>
  <si>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</si>
  <si>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</si>
  <si>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</si>
  <si>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</si>
  <si>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</si>
  <si>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</si>
  <si>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</si>
  <si>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</si>
  <si>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</si>
  <si>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</si>
  <si>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</si>
  <si>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</si>
  <si>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</si>
  <si>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</si>
  <si>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</si>
  <si>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</si>
  <si>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</si>
  <si>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</si>
  <si>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</si>
  <si>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</si>
  <si>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</si>
  <si>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</si>
  <si>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</si>
  <si>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</si>
  <si>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</si>
  <si>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</si>
  <si>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</si>
  <si>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</si>
  <si>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</si>
  <si>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</si>
  <si>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</si>
  <si>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</si>
  <si>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</si>
  <si>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</si>
  <si>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</si>
  <si>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</si>
  <si>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</si>
  <si>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</si>
  <si>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</si>
  <si>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</si>
  <si>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</si>
  <si>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</si>
  <si>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</si>
  <si>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</si>
  <si>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</si>
  <si>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</si>
  <si>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</si>
  <si>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</si>
  <si>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</si>
  <si>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</si>
  <si>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</si>
  <si>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</si>
  <si>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</si>
  <si>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</si>
  <si>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</si>
  <si>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</si>
  <si>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</si>
  <si>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</si>
  <si>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</si>
  <si>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</si>
  <si>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</si>
  <si>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</si>
  <si>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</si>
  <si>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</si>
  <si>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</si>
  <si>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</si>
  <si>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</si>
  <si>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</si>
  <si>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</si>
  <si>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</si>
  <si>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</si>
  <si>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</si>
  <si>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</si>
  <si>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</si>
  <si>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</si>
  <si>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</si>
  <si>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</si>
  <si>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</si>
  <si>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</si>
  <si>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</si>
  <si>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</si>
  <si>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</si>
  <si>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</si>
  <si>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</si>
  <si>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</si>
  <si>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</si>
  <si>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</si>
  <si>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</si>
  <si>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</si>
  <si>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</si>
  <si>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</si>
  <si>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</si>
  <si>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</si>
  <si>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</si>
  <si>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</si>
  <si>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</si>
  <si>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</si>
  <si>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</si>
  <si>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</si>
  <si>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</si>
  <si>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</si>
  <si>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</si>
  <si>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</si>
  <si>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</si>
  <si>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</si>
  <si>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</si>
  <si>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</si>
  <si>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</si>
  <si>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</si>
  <si>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</si>
  <si>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</si>
  <si>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</si>
  <si>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</si>
  <si>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</si>
  <si>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</si>
  <si>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</si>
  <si>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</si>
  <si>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</si>
  <si>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</si>
  <si>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</si>
  <si>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</si>
  <si>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</si>
  <si>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</si>
  <si>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</si>
  <si>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</si>
  <si>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</si>
  <si>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</si>
  <si>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</si>
  <si>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</si>
  <si>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</si>
  <si>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</si>
  <si>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</si>
  <si>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</si>
  <si>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</si>
  <si>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</si>
  <si>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</si>
  <si>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</si>
  <si>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</si>
  <si>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</si>
  <si>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</si>
  <si>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</si>
  <si>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</si>
  <si>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</si>
  <si>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</si>
  <si>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</si>
  <si>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</si>
  <si>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</si>
  <si>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</si>
  <si>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</si>
  <si>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</si>
  <si>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</si>
  <si>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</si>
  <si>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</si>
  <si>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</si>
  <si>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</si>
  <si>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</si>
  <si>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</si>
  <si>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</si>
  <si>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</si>
  <si>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</si>
  <si>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</si>
  <si>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</si>
  <si>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</si>
  <si>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</si>
  <si>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</si>
  <si>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</si>
  <si>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</si>
  <si>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</si>
  <si>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</si>
  <si>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</si>
  <si>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</si>
  <si>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</si>
  <si>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</si>
  <si>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</si>
  <si>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</si>
  <si>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</si>
  <si>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</si>
  <si>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</si>
  <si>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</si>
  <si>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</si>
  <si>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</si>
  <si>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</si>
  <si>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</si>
  <si>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</si>
  <si>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</si>
  <si>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</si>
  <si>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</si>
  <si>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</si>
  <si>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</si>
  <si>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</si>
  <si>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</si>
  <si>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</si>
  <si>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</si>
  <si>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</si>
  <si>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</si>
  <si>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</si>
  <si>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</si>
  <si>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</si>
  <si>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</si>
  <si>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</si>
  <si>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</si>
  <si>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</si>
  <si>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</si>
  <si>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</si>
  <si>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</si>
  <si>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</si>
  <si>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</si>
  <si>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</si>
  <si>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</si>
  <si>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</si>
  <si>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</si>
  <si>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</si>
  <si>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</si>
  <si>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</si>
  <si>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</si>
  <si>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</si>
  <si>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</si>
  <si>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</si>
  <si>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</si>
  <si>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</si>
  <si>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</si>
  <si>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</si>
  <si>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</si>
  <si>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</si>
  <si>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</si>
  <si>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</si>
  <si>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</si>
  <si>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</si>
  <si>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</si>
  <si>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</si>
  <si>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</si>
  <si>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</si>
  <si>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</si>
  <si>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</si>
  <si>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</si>
  <si>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</si>
  <si>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</si>
  <si>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</si>
  <si>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</si>
  <si>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</si>
  <si>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</si>
  <si>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</si>
  <si>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</si>
  <si>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</si>
  <si>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</si>
  <si>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</si>
  <si>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</si>
  <si>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</si>
  <si>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</si>
  <si>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</si>
  <si>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</si>
  <si>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</si>
  <si>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</si>
  <si>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</si>
  <si>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</si>
  <si>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</si>
  <si>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</si>
  <si>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</si>
  <si>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</si>
  <si>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</si>
  <si>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</si>
  <si>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</si>
  <si>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</si>
  <si>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</si>
  <si>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</si>
  <si>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</si>
  <si>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</si>
  <si>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</si>
  <si>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</si>
  <si>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</si>
  <si>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</si>
  <si>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</si>
  <si>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</si>
  <si>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</si>
  <si>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</si>
  <si>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</si>
  <si>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</si>
  <si>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</si>
  <si>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</si>
  <si>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</si>
  <si>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</si>
  <si>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</si>
  <si>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</si>
  <si>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</si>
  <si>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</si>
  <si>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</si>
  <si>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</si>
  <si>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</si>
  <si>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</si>
  <si>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</si>
  <si>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</si>
  <si>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</si>
  <si>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</si>
  <si>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</si>
  <si>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</si>
  <si>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</si>
  <si>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</si>
  <si>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</si>
  <si>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</si>
  <si>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</si>
  <si>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</si>
  <si>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</si>
  <si>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</si>
  <si>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</si>
  <si>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</si>
  <si>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</si>
  <si>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</si>
  <si>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</si>
  <si>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</si>
  <si>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</si>
  <si>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</si>
  <si>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</si>
  <si>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</si>
  <si>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</si>
  <si>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</si>
  <si>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</si>
  <si>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</si>
  <si>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</si>
  <si>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</si>
  <si>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</si>
  <si>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</si>
  <si>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</si>
  <si>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</si>
  <si>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</si>
  <si>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</si>
  <si>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</si>
  <si>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</si>
  <si>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</si>
  <si>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</si>
  <si>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</si>
  <si>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</si>
  <si>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</si>
  <si>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</si>
  <si>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</si>
  <si>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</si>
  <si>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</si>
  <si>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</si>
  <si>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</si>
  <si>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</si>
  <si>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</si>
  <si>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</si>
  <si>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</si>
  <si>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</si>
  <si>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</si>
  <si>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</si>
  <si>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</si>
  <si>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</si>
  <si>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</si>
  <si>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</si>
  <si>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</si>
  <si>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</si>
  <si>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</si>
  <si>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</si>
  <si>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</si>
  <si>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</si>
  <si>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</si>
  <si>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</si>
  <si>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</si>
  <si>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</si>
  <si>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</si>
  <si>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</si>
  <si>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</si>
  <si>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</si>
  <si>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</si>
  <si>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</si>
  <si>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</si>
  <si>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</si>
  <si>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</si>
  <si>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</si>
  <si>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</si>
  <si>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</si>
  <si>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</si>
  <si>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</si>
  <si>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</si>
  <si>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</si>
  <si>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</si>
  <si>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</si>
  <si>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</si>
  <si>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</si>
  <si>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</si>
  <si>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</si>
  <si>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</si>
  <si>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</si>
  <si>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</si>
  <si>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</si>
  <si>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</si>
  <si>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</si>
  <si>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</si>
  <si>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</si>
  <si>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</si>
  <si>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</si>
  <si>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</si>
  <si>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</si>
  <si>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</si>
  <si>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</si>
  <si>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</si>
  <si>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</si>
  <si>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</si>
  <si>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</si>
  <si>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</si>
  <si>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</si>
  <si>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</si>
  <si>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</si>
  <si>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</si>
  <si>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</si>
  <si>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</si>
  <si>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</si>
  <si>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</si>
  <si>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</si>
  <si>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</si>
  <si>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</si>
  <si>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</si>
  <si>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</si>
  <si>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</si>
  <si>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</si>
  <si>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</si>
  <si>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</si>
  <si>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</si>
  <si>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</si>
  <si>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</si>
  <si>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</si>
  <si>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</si>
  <si>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</si>
  <si>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</si>
  <si>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</si>
  <si>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</si>
  <si>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</si>
  <si>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</si>
  <si>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</si>
  <si>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</si>
  <si>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</si>
  <si>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</si>
  <si>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</si>
  <si>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</si>
  <si>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</si>
  <si>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</si>
  <si>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</si>
  <si>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</si>
  <si>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</si>
  <si>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</si>
  <si>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</si>
  <si>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</si>
  <si>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</si>
  <si>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</si>
  <si>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</si>
  <si>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</si>
  <si>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</si>
  <si>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</si>
  <si>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</si>
  <si>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</si>
  <si>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</si>
  <si>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</si>
  <si>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</si>
  <si>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</si>
  <si>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</si>
  <si>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</si>
  <si>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</si>
  <si>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</si>
  <si>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</si>
  <si>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</si>
  <si>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</si>
  <si>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</si>
  <si>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</si>
  <si>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</si>
  <si>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</si>
  <si>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</si>
  <si>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</si>
  <si>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</si>
  <si>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</si>
  <si>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</si>
  <si>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</si>
  <si>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</si>
  <si>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</si>
  <si>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</si>
  <si>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</si>
  <si>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</si>
  <si>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</si>
  <si>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</si>
  <si>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</si>
  <si>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</si>
  <si>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</si>
  <si>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</si>
  <si>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</si>
  <si>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</si>
  <si>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</si>
  <si>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</si>
  <si>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</si>
  <si>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</si>
  <si>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</si>
  <si>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</si>
  <si>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</si>
  <si>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</si>
  <si>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</si>
  <si>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</si>
  <si>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</si>
  <si>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</si>
  <si>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</si>
  <si>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</si>
  <si>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</si>
  <si>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</si>
  <si>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</si>
  <si>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</si>
  <si>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</si>
  <si>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</si>
  <si>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</si>
  <si>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</si>
  <si>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</si>
  <si>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</si>
  <si>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</si>
  <si>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</si>
  <si>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</si>
  <si>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</si>
  <si>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</si>
  <si>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</si>
  <si>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</si>
  <si>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</si>
  <si>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</si>
  <si>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</si>
  <si>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</si>
  <si>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</si>
  <si>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</si>
  <si>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</si>
  <si>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</si>
  <si>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</si>
  <si>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</si>
  <si>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</si>
  <si>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</si>
  <si>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</si>
  <si>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</si>
  <si>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</si>
  <si>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</si>
  <si>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</si>
  <si>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</si>
  <si>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</si>
  <si>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</si>
  <si>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</si>
  <si>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</si>
  <si>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</si>
  <si>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</si>
  <si>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</si>
  <si>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</si>
  <si>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</si>
  <si>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</si>
  <si>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</si>
  <si>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</si>
  <si>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</si>
  <si>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</si>
  <si>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</si>
  <si>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</si>
  <si>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</si>
  <si>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</si>
  <si>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</si>
  <si>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</si>
  <si>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</si>
  <si>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</si>
  <si>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</si>
  <si>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</si>
  <si>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</si>
  <si>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</si>
  <si>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</si>
  <si>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</si>
  <si>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</si>
  <si>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</si>
  <si>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</si>
  <si>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</si>
  <si>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</si>
  <si>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</si>
  <si>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</si>
  <si>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</si>
  <si>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</si>
  <si>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</si>
  <si>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</si>
  <si>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</si>
  <si>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</si>
  <si>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</si>
  <si>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</si>
  <si>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</si>
  <si>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</si>
  <si>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</si>
  <si>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</si>
  <si>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</si>
  <si>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</si>
  <si>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</si>
  <si>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</si>
  <si>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</si>
  <si>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</si>
  <si>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</si>
  <si>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</si>
  <si>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</si>
  <si>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</si>
  <si>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</si>
  <si>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</si>
  <si>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</si>
  <si>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</si>
  <si>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</si>
  <si>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</si>
  <si>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</si>
  <si>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</si>
  <si>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</si>
  <si>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</si>
  <si>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</si>
  <si>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</si>
  <si>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</si>
  <si>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</si>
  <si>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</si>
  <si>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</si>
  <si>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</si>
  <si>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</si>
  <si>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</si>
  <si>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</si>
  <si>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</si>
  <si>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</si>
  <si>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</si>
  <si>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</si>
  <si>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</si>
  <si>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</si>
  <si>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</si>
  <si>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</si>
  <si>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</si>
  <si>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</si>
  <si>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</si>
  <si>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</si>
  <si>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b750</t>
  </si>
  <si>
    <t>d628</t>
  </si>
  <si>
    <t>c922</t>
  </si>
  <si>
    <t xml:space="preserve">П.ДЕНЕВА </t>
  </si>
  <si>
    <t>Д.СТЕФАНОВ</t>
  </si>
  <si>
    <t>09.3.2018 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</si>
</sst>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>
        <f>+OTCHET!B9</f>
        <v>0</v>
      </c>
      <c r="C2" s="1752"/>
      <c r="D2" s="1753"/>
      <c r="E2" s="1021"/>
      <c r="F2" s="1022">
        <f>+OTCHET!H9</f>
        <v>0</v>
      </c>
      <c r="G2" s="1023" t="str">
        <f>+OTCHET!F12</f>
        <v>5806</v>
      </c>
      <c r="H2" s="1024"/>
      <c r="I2" s="1754">
        <f>+OTCHET!H609</f>
        <v>0</v>
      </c>
      <c r="J2" s="1755"/>
      <c r="K2" s="1015"/>
      <c r="L2" s="1756">
        <f>OTCHET!H607</f>
        <v>0</v>
      </c>
      <c r="M2" s="1757"/>
      <c r="N2" s="175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1590</v>
      </c>
      <c r="K54" s="1097"/>
      <c r="L54" s="1122">
        <f>+IF($P$2=33,$Q54,0)</f>
        <v>0</v>
      </c>
      <c r="M54" s="1097"/>
      <c r="N54" s="1123">
        <f>+ROUND(+G54+J54+L54,0)</f>
        <v>1590</v>
      </c>
      <c r="O54" s="1099"/>
      <c r="P54" s="1121">
        <f>+ROUND(OTCHET!E188+OTCHET!E191,0)</f>
        <v>0</v>
      </c>
      <c r="Q54" s="1122">
        <f>+ROUND(OTCHET!L188+OTCHET!L191,0)</f>
        <v>1590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399</v>
      </c>
      <c r="K55" s="1097"/>
      <c r="L55" s="1122">
        <f>+IF($P$2=33,$Q55,0)</f>
        <v>0</v>
      </c>
      <c r="M55" s="1097"/>
      <c r="N55" s="1123">
        <f>+ROUND(+G55+J55+L55,0)</f>
        <v>399</v>
      </c>
      <c r="O55" s="1099"/>
      <c r="P55" s="1121">
        <f>+ROUND(OTCHET!E197+OTCHET!E205,0)</f>
        <v>0</v>
      </c>
      <c r="Q55" s="1122">
        <f>+ROUND(OTCHET!L197+OTCHET!L205,0)</f>
        <v>399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1989</v>
      </c>
      <c r="K56" s="1097"/>
      <c r="L56" s="1210">
        <f>+ROUND(+SUM(L51:L55),0)</f>
        <v>0</v>
      </c>
      <c r="M56" s="1097"/>
      <c r="N56" s="1211">
        <f>+ROUND(+SUM(N51:N55),0)</f>
        <v>1989</v>
      </c>
      <c r="O56" s="1099"/>
      <c r="P56" s="1209">
        <f>+ROUND(+SUM(P51:P55),0)</f>
        <v>0</v>
      </c>
      <c r="Q56" s="1210">
        <f>+ROUND(+SUM(Q51:Q55),0)</f>
        <v>1989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1989</v>
      </c>
      <c r="K77" s="1097"/>
      <c r="L77" s="1235">
        <f>+ROUND(L56+L63+L67+L71+L75,0)</f>
        <v>0</v>
      </c>
      <c r="M77" s="1097"/>
      <c r="N77" s="1236">
        <f>+ROUND(N56+N63+N67+N71+N75,0)</f>
        <v>1989</v>
      </c>
      <c r="O77" s="1099"/>
      <c r="P77" s="1233">
        <f>+ROUND(P56+P63+P67+P71+P75,0)</f>
        <v>0</v>
      </c>
      <c r="Q77" s="1234">
        <f>+ROUND(Q56+Q63+Q67+Q71+Q75,0)</f>
        <v>1989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4577</v>
      </c>
      <c r="K79" s="1097"/>
      <c r="L79" s="1110">
        <f>+IF($P$2=33,$Q79,0)</f>
        <v>0</v>
      </c>
      <c r="M79" s="1097"/>
      <c r="N79" s="1111">
        <f>+ROUND(+G79+J79+L79,0)</f>
        <v>4577</v>
      </c>
      <c r="O79" s="1099"/>
      <c r="P79" s="1109">
        <f>+ROUND(OTCHET!E421,0)</f>
        <v>0</v>
      </c>
      <c r="Q79" s="1110">
        <f>+ROUND(OTCHET!L421,0)</f>
        <v>4577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4577</v>
      </c>
      <c r="K81" s="1097"/>
      <c r="L81" s="1244">
        <f>+ROUND(L79+L80,0)</f>
        <v>0</v>
      </c>
      <c r="M81" s="1097"/>
      <c r="N81" s="1245">
        <f>+ROUND(N79+N80,0)</f>
        <v>4577</v>
      </c>
      <c r="O81" s="1099"/>
      <c r="P81" s="1243">
        <f>+ROUND(P79+P80,0)</f>
        <v>0</v>
      </c>
      <c r="Q81" s="1244">
        <f>+ROUND(Q79+Q80,0)</f>
        <v>4577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2588</v>
      </c>
      <c r="K83" s="1097"/>
      <c r="L83" s="1257">
        <f>+ROUND(L48,0)-ROUND(L77,0)+ROUND(L81,0)</f>
        <v>0</v>
      </c>
      <c r="M83" s="1097"/>
      <c r="N83" s="1258">
        <f>+ROUND(N48,0)-ROUND(N77,0)+ROUND(N81,0)</f>
        <v>2588</v>
      </c>
      <c r="O83" s="1259"/>
      <c r="P83" s="1256">
        <f>+ROUND(P48,0)-ROUND(P77,0)+ROUND(P81,0)</f>
        <v>0</v>
      </c>
      <c r="Q83" s="1257">
        <f>+ROUND(Q48,0)-ROUND(Q77,0)+ROUND(Q81,0)</f>
        <v>2588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-2588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-2588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-2588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-2588</v>
      </c>
      <c r="K123" s="1097"/>
      <c r="L123" s="1122">
        <f>+IF($P$2=33,$Q123,0)</f>
        <v>0</v>
      </c>
      <c r="M123" s="1097"/>
      <c r="N123" s="1123">
        <f>+ROUND(+G123+J123+L123,0)</f>
        <v>-2588</v>
      </c>
      <c r="O123" s="1099"/>
      <c r="P123" s="1121">
        <f>+ROUND(OTCHET!E526,0)</f>
        <v>0</v>
      </c>
      <c r="Q123" s="1122">
        <f>+ROUND(OTCHET!L526,0)</f>
        <v>-2588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-2588</v>
      </c>
      <c r="K127" s="1097"/>
      <c r="L127" s="1244">
        <f>+ROUND(+SUM(L122:L126),0)</f>
        <v>0</v>
      </c>
      <c r="M127" s="1097"/>
      <c r="N127" s="1245">
        <f>+ROUND(+SUM(N122:N126),0)</f>
        <v>-2588</v>
      </c>
      <c r="O127" s="1099"/>
      <c r="P127" s="1243">
        <f>+ROUND(+SUM(P122:P126),0)</f>
        <v>0</v>
      </c>
      <c r="Q127" s="1244">
        <f>+ROUND(+SUM(Q122:Q126),0)</f>
        <v>-2588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09.3.2018 Г.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Крушари</v>
      </c>
      <c r="C13" s="714"/>
      <c r="D13" s="714"/>
      <c r="E13" s="717" t="str">
        <f>+OTCHET!E12</f>
        <v>код по ЕБК:</v>
      </c>
      <c r="F13" s="233" t="str">
        <f>+OTCHET!F12</f>
        <v>5806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1989</v>
      </c>
      <c r="G38" s="850">
        <f>G39+G43+G44+G46+SUM(G48:G52)+G55</f>
        <v>1989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1989</v>
      </c>
      <c r="G39" s="813">
        <f>SUM(G40:G42)</f>
        <v>1989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743</v>
      </c>
      <c r="G40" s="876">
        <f>OTCHET!I188</f>
        <v>743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847</v>
      </c>
      <c r="G41" s="1669">
        <f>OTCHET!I191</f>
        <v>847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399</v>
      </c>
      <c r="G42" s="1674">
        <f>+OTCHET!I197+OTCHET!I205</f>
        <v>399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4577</v>
      </c>
      <c r="G56" s="895">
        <f>+G57+G58+G62</f>
        <v>4577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4577</v>
      </c>
      <c r="G58" s="904">
        <f>+OTCHET!I385+OTCHET!I393+OTCHET!I398+OTCHET!I401+OTCHET!I404+OTCHET!I407+OTCHET!I408+OTCHET!I411+OTCHET!I424+OTCHET!I425+OTCHET!I426+OTCHET!I427+OTCHET!I428</f>
        <v>4577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2588</v>
      </c>
      <c r="G64" s="930">
        <f>+G22-G38+G56-G63</f>
        <v>2588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-2588</v>
      </c>
      <c r="G66" s="940">
        <f>SUM(+G68+G76+G77+G84+G85+G86+G89+G90+G91+G92+G93+G94+G95)</f>
        <v>-2588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-2588</v>
      </c>
      <c r="G86" s="908">
        <f>+G87+G88</f>
        <v>-2588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-2588</v>
      </c>
      <c r="G88" s="966">
        <f>+OTCHET!I523+OTCHET!I526+OTCHET!I546</f>
        <v>-2588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57712225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П.ДЕНЕВА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П.ДЕНЕВА </v>
      </c>
      <c r="F114" s="1770"/>
      <c r="G114" s="1004"/>
      <c r="H114" s="691"/>
      <c r="I114" s="1376" t="str">
        <f>+OTCHET!G605</f>
        <v>Д.СТЕФАНОВ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587">
      <selection activeCell="J553" sqref="J55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ДЕС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/>
      <c r="C9" s="1848"/>
      <c r="D9" s="1849"/>
      <c r="E9" s="115">
        <v>43101</v>
      </c>
      <c r="F9" s="116">
        <v>43190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Крушари</v>
      </c>
      <c r="C12" s="1810"/>
      <c r="D12" s="1811"/>
      <c r="E12" s="118" t="s">
        <v>975</v>
      </c>
      <c r="F12" s="1588" t="s">
        <v>1451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2034</v>
      </c>
      <c r="F19" s="1851"/>
      <c r="G19" s="1851"/>
      <c r="H19" s="1852"/>
      <c r="I19" s="1856" t="s">
        <v>2035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ДЕС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>
        <f>$B$9</f>
        <v>0</v>
      </c>
      <c r="C177" s="1807"/>
      <c r="D177" s="1808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Крушари</v>
      </c>
      <c r="C180" s="1810"/>
      <c r="D180" s="1811"/>
      <c r="E180" s="232" t="s">
        <v>900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2036</v>
      </c>
      <c r="F184" s="1851"/>
      <c r="G184" s="1851"/>
      <c r="H184" s="1852"/>
      <c r="I184" s="1859" t="s">
        <v>2037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743</v>
      </c>
      <c r="J188" s="276">
        <f t="shared" si="42"/>
        <v>0</v>
      </c>
      <c r="K188" s="277">
        <f t="shared" si="42"/>
        <v>0</v>
      </c>
      <c r="L188" s="274">
        <f t="shared" si="42"/>
        <v>743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743</v>
      </c>
      <c r="J190" s="290">
        <f t="shared" si="44"/>
        <v>0</v>
      </c>
      <c r="K190" s="291">
        <f t="shared" si="44"/>
        <v>0</v>
      </c>
      <c r="L190" s="288">
        <f t="shared" si="44"/>
        <v>743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847</v>
      </c>
      <c r="J191" s="276">
        <f t="shared" si="45"/>
        <v>0</v>
      </c>
      <c r="K191" s="277">
        <f t="shared" si="45"/>
        <v>0</v>
      </c>
      <c r="L191" s="274">
        <f t="shared" si="45"/>
        <v>847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847</v>
      </c>
      <c r="J192" s="284">
        <f t="shared" si="46"/>
        <v>0</v>
      </c>
      <c r="K192" s="285">
        <f t="shared" si="46"/>
        <v>0</v>
      </c>
      <c r="L192" s="282">
        <f t="shared" si="46"/>
        <v>847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399</v>
      </c>
      <c r="J197" s="276">
        <f t="shared" si="47"/>
        <v>0</v>
      </c>
      <c r="K197" s="277">
        <f t="shared" si="47"/>
        <v>0</v>
      </c>
      <c r="L197" s="274">
        <f t="shared" si="47"/>
        <v>399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249</v>
      </c>
      <c r="J198" s="284">
        <f t="shared" si="48"/>
        <v>0</v>
      </c>
      <c r="K198" s="285">
        <f t="shared" si="48"/>
        <v>0</v>
      </c>
      <c r="L198" s="282">
        <f t="shared" si="48"/>
        <v>249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100</v>
      </c>
      <c r="J201" s="298">
        <f t="shared" si="48"/>
        <v>0</v>
      </c>
      <c r="K201" s="299">
        <f t="shared" si="48"/>
        <v>0</v>
      </c>
      <c r="L201" s="296">
        <f t="shared" si="48"/>
        <v>100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50</v>
      </c>
      <c r="J202" s="298">
        <f t="shared" si="48"/>
        <v>0</v>
      </c>
      <c r="K202" s="299">
        <f t="shared" si="48"/>
        <v>0</v>
      </c>
      <c r="L202" s="296">
        <f t="shared" si="48"/>
        <v>50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1989</v>
      </c>
      <c r="J303" s="398">
        <f t="shared" si="79"/>
        <v>0</v>
      </c>
      <c r="K303" s="399">
        <f t="shared" si="79"/>
        <v>0</v>
      </c>
      <c r="L303" s="396">
        <f t="shared" si="79"/>
        <v>1989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ДЕС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>
        <f>$B$9</f>
        <v>0</v>
      </c>
      <c r="C352" s="1807"/>
      <c r="D352" s="1808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Крушари</v>
      </c>
      <c r="C355" s="1810"/>
      <c r="D355" s="1811"/>
      <c r="E355" s="411" t="s">
        <v>900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2038</v>
      </c>
      <c r="F359" s="1863"/>
      <c r="G359" s="1863"/>
      <c r="H359" s="1864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4577</v>
      </c>
      <c r="J401" s="1641">
        <f t="shared" si="92"/>
        <v>0</v>
      </c>
      <c r="K401" s="446">
        <f>SUM(K402:K403)</f>
        <v>0</v>
      </c>
      <c r="L401" s="1380">
        <f t="shared" si="92"/>
        <v>4577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>
        <v>4577</v>
      </c>
      <c r="J402" s="1630"/>
      <c r="K402" s="1639">
        <v>0</v>
      </c>
      <c r="L402" s="1381">
        <f>I402+J402+K402</f>
        <v>4577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4577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4577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ДЕС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>
        <f>$B$9</f>
        <v>0</v>
      </c>
      <c r="C437" s="1807"/>
      <c r="D437" s="1808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Крушари</v>
      </c>
      <c r="C440" s="1810"/>
      <c r="D440" s="1811"/>
      <c r="E440" s="411" t="s">
        <v>900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2040</v>
      </c>
      <c r="F444" s="1851"/>
      <c r="G444" s="1851"/>
      <c r="H444" s="1852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2588</v>
      </c>
      <c r="J447" s="549">
        <f t="shared" si="103"/>
        <v>0</v>
      </c>
      <c r="K447" s="550">
        <f t="shared" si="103"/>
        <v>0</v>
      </c>
      <c r="L447" s="551">
        <f t="shared" si="103"/>
        <v>2588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-2588</v>
      </c>
      <c r="J448" s="556">
        <f t="shared" si="104"/>
        <v>0</v>
      </c>
      <c r="K448" s="557">
        <f t="shared" si="104"/>
        <v>0</v>
      </c>
      <c r="L448" s="558">
        <f>+L599</f>
        <v>-2588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ДЕС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>
        <f>$B$9</f>
        <v>0</v>
      </c>
      <c r="C453" s="1807"/>
      <c r="D453" s="1808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Крушари</v>
      </c>
      <c r="C456" s="1810"/>
      <c r="D456" s="1811"/>
      <c r="E456" s="411" t="s">
        <v>900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2042</v>
      </c>
      <c r="F460" s="1854"/>
      <c r="G460" s="1854"/>
      <c r="H460" s="185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-2588</v>
      </c>
      <c r="J526" s="582">
        <f t="shared" si="125"/>
        <v>0</v>
      </c>
      <c r="K526" s="583">
        <f t="shared" si="125"/>
        <v>0</v>
      </c>
      <c r="L526" s="580">
        <f t="shared" si="125"/>
        <v>-2588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>
        <v>-2588</v>
      </c>
      <c r="J529" s="159"/>
      <c r="K529" s="587">
        <v>0</v>
      </c>
      <c r="L529" s="1389">
        <f t="shared" si="121"/>
        <v>-2588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-2588</v>
      </c>
      <c r="J599" s="666">
        <f t="shared" si="138"/>
        <v>0</v>
      </c>
      <c r="K599" s="668">
        <f t="shared" si="138"/>
        <v>0</v>
      </c>
      <c r="L599" s="664">
        <f t="shared" si="138"/>
        <v>-2588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2074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2074</v>
      </c>
      <c r="E605" s="673"/>
      <c r="F605" s="219" t="s">
        <v>889</v>
      </c>
      <c r="G605" s="1788" t="s">
        <v>2075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 t="s">
        <v>2076</v>
      </c>
      <c r="C607" s="1775"/>
      <c r="D607" s="677" t="s">
        <v>892</v>
      </c>
      <c r="E607" s="678">
        <v>57712225</v>
      </c>
      <c r="F607" s="679"/>
      <c r="G607" s="680" t="s">
        <v>893</v>
      </c>
      <c r="H607" s="1776"/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ДЕС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>
        <f>$B$9</f>
        <v>0</v>
      </c>
      <c r="C616" s="1807"/>
      <c r="D616" s="1808"/>
      <c r="E616" s="115">
        <f>$E$9</f>
        <v>43101</v>
      </c>
      <c r="F616" s="227">
        <f>$F$9</f>
        <v>43190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Крушари</v>
      </c>
      <c r="C619" s="1866"/>
      <c r="D619" s="1867"/>
      <c r="E619" s="411" t="s">
        <v>900</v>
      </c>
      <c r="F619" s="1362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2046</v>
      </c>
      <c r="F623" s="1851"/>
      <c r="G623" s="1851"/>
      <c r="H623" s="1852"/>
      <c r="I623" s="1859" t="s">
        <v>2047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7718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7718</v>
      </c>
      <c r="D628" s="1454" t="s">
        <v>498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743</v>
      </c>
      <c r="J630" s="276">
        <f t="shared" si="139"/>
        <v>0</v>
      </c>
      <c r="K630" s="277">
        <f t="shared" si="139"/>
        <v>0</v>
      </c>
      <c r="L630" s="274">
        <f t="shared" si="139"/>
        <v>743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>
        <v>743</v>
      </c>
      <c r="J632" s="174"/>
      <c r="K632" s="1423"/>
      <c r="L632" s="288">
        <f>I632+J632+K632</f>
        <v>743</v>
      </c>
      <c r="M632" s="12">
        <f t="shared" si="140"/>
        <v>1</v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847</v>
      </c>
      <c r="J633" s="276">
        <f t="shared" si="141"/>
        <v>0</v>
      </c>
      <c r="K633" s="277">
        <f t="shared" si="141"/>
        <v>0</v>
      </c>
      <c r="L633" s="274">
        <f t="shared" si="141"/>
        <v>847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>
        <v>847</v>
      </c>
      <c r="J634" s="153"/>
      <c r="K634" s="1420"/>
      <c r="L634" s="282">
        <f>I634+J634+K634</f>
        <v>847</v>
      </c>
      <c r="M634" s="12">
        <f t="shared" si="140"/>
        <v>1</v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399</v>
      </c>
      <c r="J639" s="276">
        <f t="shared" si="142"/>
        <v>0</v>
      </c>
      <c r="K639" s="277">
        <f t="shared" si="142"/>
        <v>0</v>
      </c>
      <c r="L639" s="274">
        <f t="shared" si="142"/>
        <v>399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>
        <v>249</v>
      </c>
      <c r="J640" s="153"/>
      <c r="K640" s="1420"/>
      <c r="L640" s="282">
        <f aca="true" t="shared" si="144" ref="L640:L647">I640+J640+K640</f>
        <v>249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>
        <v>100</v>
      </c>
      <c r="J643" s="159"/>
      <c r="K643" s="1422"/>
      <c r="L643" s="296">
        <f t="shared" si="144"/>
        <v>100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>
        <v>50</v>
      </c>
      <c r="J644" s="159"/>
      <c r="K644" s="1422"/>
      <c r="L644" s="296">
        <f t="shared" si="144"/>
        <v>50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/>
      <c r="K655" s="1430"/>
      <c r="L655" s="321">
        <f t="shared" si="147"/>
        <v>0</v>
      </c>
      <c r="M655" s="12">
        <f t="shared" si="140"/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1989</v>
      </c>
      <c r="J746" s="398">
        <f t="shared" si="173"/>
        <v>0</v>
      </c>
      <c r="K746" s="399">
        <f t="shared" si="173"/>
        <v>0</v>
      </c>
      <c r="L746" s="396">
        <f t="shared" si="173"/>
        <v>1989</v>
      </c>
      <c r="M746" s="12">
        <f>(IF($E746&lt;&gt;0,$M$2,IF($L746&lt;&gt;0,$M$2,"")))</f>
        <v>1</v>
      </c>
      <c r="N746" s="73" t="str">
        <f>LEFT(C627,1)</f>
        <v>7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2073</v>
      </c>
      <c r="I2" s="61"/>
    </row>
    <row r="3" spans="1:9" ht="12.75">
      <c r="A3" s="61" t="s">
        <v>718</v>
      </c>
      <c r="B3" s="61" t="s">
        <v>2071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2046</v>
      </c>
      <c r="M23" s="1851"/>
      <c r="N23" s="1851"/>
      <c r="O23" s="1852"/>
      <c r="P23" s="1859" t="s">
        <v>2047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2018-04-05T09:41:17Z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